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kin Cataño\Desktop\Nuevo PRAMING\3. Cocorna_III\Requerimientos\Asesores\Req. 5.3.3\"/>
    </mc:Choice>
  </mc:AlternateContent>
  <bookViews>
    <workbookView xWindow="0" yWindow="0" windowWidth="23040" windowHeight="9384"/>
  </bookViews>
  <sheets>
    <sheet name="Desareandor" sheetId="4" r:id="rId1"/>
    <sheet name="Lecho secado" sheetId="1" r:id="rId2"/>
    <sheet name="tanque de almacenamiento" sheetId="2" r:id="rId3"/>
    <sheet name="Tanque Bombeo lodos" sheetId="3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9" i="4" l="1"/>
  <c r="G76" i="4"/>
  <c r="M15" i="4"/>
  <c r="G77" i="4" s="1"/>
  <c r="G15" i="4"/>
  <c r="G16" i="4" s="1"/>
  <c r="C18" i="4" s="1"/>
  <c r="W14" i="4"/>
  <c r="X14" i="4" s="1"/>
  <c r="Y14" i="4" s="1"/>
  <c r="Z14" i="4" s="1"/>
  <c r="AA14" i="4" s="1"/>
  <c r="AB14" i="4" s="1"/>
  <c r="AC14" i="4" s="1"/>
  <c r="AD14" i="4" s="1"/>
  <c r="V14" i="4"/>
  <c r="U14" i="4"/>
  <c r="M14" i="4"/>
  <c r="M16" i="4" s="1"/>
  <c r="G14" i="4"/>
  <c r="U13" i="4"/>
  <c r="W13" i="4" s="1"/>
  <c r="X13" i="4" s="1"/>
  <c r="Y13" i="4" s="1"/>
  <c r="Z13" i="4" s="1"/>
  <c r="AA13" i="4" s="1"/>
  <c r="AB13" i="4" s="1"/>
  <c r="I13" i="4"/>
  <c r="I14" i="4" s="1"/>
  <c r="C51" i="4" l="1"/>
  <c r="E61" i="4" s="1"/>
  <c r="E57" i="4" s="1"/>
  <c r="M17" i="4"/>
  <c r="U15" i="4" s="1"/>
  <c r="U16" i="4" s="1"/>
  <c r="U17" i="4" s="1"/>
  <c r="V15" i="4" s="1"/>
  <c r="V16" i="4" s="1"/>
  <c r="V17" i="4" s="1"/>
  <c r="W15" i="4" s="1"/>
  <c r="W16" i="4" s="1"/>
  <c r="W17" i="4" s="1"/>
  <c r="X15" i="4" s="1"/>
  <c r="X16" i="4" s="1"/>
  <c r="X17" i="4" s="1"/>
  <c r="Y15" i="4" s="1"/>
  <c r="Y16" i="4" s="1"/>
  <c r="Y17" i="4" s="1"/>
  <c r="Z15" i="4" s="1"/>
  <c r="Z16" i="4" s="1"/>
  <c r="Z17" i="4" s="1"/>
  <c r="AA15" i="4" s="1"/>
  <c r="AA16" i="4" s="1"/>
  <c r="AA17" i="4" s="1"/>
  <c r="AB15" i="4" s="1"/>
  <c r="AB16" i="4" s="1"/>
  <c r="AB17" i="4" s="1"/>
  <c r="AC15" i="4" s="1"/>
  <c r="AC16" i="4" s="1"/>
  <c r="AC17" i="4" s="1"/>
  <c r="AD15" i="4" s="1"/>
  <c r="AD16" i="4" s="1"/>
  <c r="AD17" i="4" s="1"/>
  <c r="AC13" i="4"/>
  <c r="AD13" i="4"/>
  <c r="V13" i="4"/>
  <c r="F12" i="3"/>
  <c r="E69" i="4" l="1"/>
  <c r="E65" i="4"/>
  <c r="E64" i="4" s="1"/>
  <c r="D10" i="2"/>
  <c r="B5" i="1"/>
  <c r="B4" i="1"/>
  <c r="E85" i="4" l="1"/>
  <c r="E88" i="4" s="1"/>
  <c r="E68" i="4"/>
  <c r="E66" i="4" s="1"/>
  <c r="E62" i="4"/>
  <c r="E63" i="4" s="1"/>
  <c r="E76" i="4"/>
  <c r="C18" i="1"/>
  <c r="D16" i="2"/>
  <c r="D8" i="2"/>
  <c r="D5" i="2"/>
  <c r="E67" i="4" l="1"/>
  <c r="E78" i="4"/>
  <c r="E77" i="4" s="1"/>
  <c r="E80" i="4" s="1"/>
  <c r="G78" i="4" s="1"/>
  <c r="C19" i="1"/>
  <c r="B11" i="1"/>
  <c r="B12" i="1" s="1"/>
  <c r="C20" i="1" l="1"/>
  <c r="B2" i="1"/>
  <c r="B3" i="1" s="1"/>
  <c r="B6" i="1" s="1"/>
  <c r="B7" i="1" s="1"/>
  <c r="C12" i="1" l="1"/>
</calcChain>
</file>

<file path=xl/comments1.xml><?xml version="1.0" encoding="utf-8"?>
<comments xmlns="http://schemas.openxmlformats.org/spreadsheetml/2006/main">
  <authors>
    <author>Elkin Cataño</author>
  </authors>
  <commentList>
    <comment ref="T11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A partir del número de Reynolds se determina si el flujo es laminar, de transición o turbulento</t>
        </r>
      </text>
    </comment>
    <comment ref="M17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La ecuación de Stokes es válida para Reynolds &lt; 1. Flujo laminar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Elegir la Velocidad de sedimentación más coherente entre la Metodología A y la Metodología B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Para una eficiencia del 90%, K=3.6 . Gráfica Porcentaje de remoción vs Carga de tartamiento</t>
        </r>
      </text>
    </comment>
    <comment ref="E75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0.001m para concreto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Para arenas finas unigranulares</t>
        </r>
      </text>
    </comment>
    <comment ref="D85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T1 = b</t>
        </r>
      </text>
    </comment>
    <comment ref="D86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Características del canal que antecede la transición. Para un canal rectangular corresponde a la base de mismo</t>
        </r>
      </text>
    </comment>
    <comment ref="E87" authorId="0" shapeId="0">
      <text>
        <r>
          <rPr>
            <b/>
            <sz val="9"/>
            <color indexed="81"/>
            <rFont val="Tahoma"/>
            <family val="2"/>
          </rPr>
          <t>Elkin Cataño:</t>
        </r>
        <r>
          <rPr>
            <sz val="9"/>
            <color indexed="81"/>
            <rFont val="Tahoma"/>
            <family val="2"/>
          </rPr>
          <t xml:space="preserve">
Se recomienda que sea entre 12 y 30°</t>
        </r>
      </text>
    </comment>
  </commentList>
</comments>
</file>

<file path=xl/comments2.xml><?xml version="1.0" encoding="utf-8"?>
<comments xmlns="http://schemas.openxmlformats.org/spreadsheetml/2006/main">
  <authors>
    <author>PC_14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Solidios sedimentables
</t>
        </r>
      </text>
    </comment>
  </commentList>
</comments>
</file>

<file path=xl/sharedStrings.xml><?xml version="1.0" encoding="utf-8"?>
<sst xmlns="http://schemas.openxmlformats.org/spreadsheetml/2006/main" count="122" uniqueCount="101">
  <si>
    <r>
      <t>Caudal de diseño (m</t>
    </r>
    <r>
      <rPr>
        <sz val="11"/>
        <color theme="1"/>
        <rFont val="Calibri"/>
        <family val="2"/>
      </rPr>
      <t>³/s</t>
    </r>
    <r>
      <rPr>
        <sz val="11"/>
        <color theme="1"/>
        <rFont val="Calibri"/>
        <family val="2"/>
        <scheme val="minor"/>
      </rPr>
      <t>)</t>
    </r>
  </si>
  <si>
    <r>
      <t>Caudal de diseño (l</t>
    </r>
    <r>
      <rPr>
        <sz val="11"/>
        <color theme="1"/>
        <rFont val="Calibri"/>
        <family val="2"/>
      </rPr>
      <t>/s</t>
    </r>
    <r>
      <rPr>
        <sz val="11"/>
        <color theme="1"/>
        <rFont val="Calibri"/>
        <family val="2"/>
        <scheme val="minor"/>
      </rPr>
      <t>)</t>
    </r>
  </si>
  <si>
    <t>Carga de arena (Kg/d)</t>
  </si>
  <si>
    <t>Masa de Sólido (Kg)</t>
  </si>
  <si>
    <t>Ciclo de operación</t>
  </si>
  <si>
    <t>Densidad del material</t>
  </si>
  <si>
    <r>
      <t>Área del lecho (m</t>
    </r>
    <r>
      <rPr>
        <sz val="11"/>
        <color theme="1"/>
        <rFont val="Calibri"/>
        <family val="2"/>
      </rPr>
      <t>²)</t>
    </r>
  </si>
  <si>
    <t>Largo (m)</t>
  </si>
  <si>
    <t>Ancho (m)</t>
  </si>
  <si>
    <t>Modulos a implementar</t>
  </si>
  <si>
    <r>
      <t>Área a implementar por módulo (m</t>
    </r>
    <r>
      <rPr>
        <sz val="11"/>
        <color theme="1"/>
        <rFont val="Calibri"/>
        <family val="2"/>
      </rPr>
      <t>²)</t>
    </r>
  </si>
  <si>
    <r>
      <t>Área total de lechos a implementar (m</t>
    </r>
    <r>
      <rPr>
        <sz val="11"/>
        <color theme="1"/>
        <rFont val="Calibri"/>
        <family val="2"/>
      </rPr>
      <t>²)</t>
    </r>
  </si>
  <si>
    <t>Concentración de solidos (mg/L)</t>
  </si>
  <si>
    <t>sg</t>
  </si>
  <si>
    <t>l/s</t>
  </si>
  <si>
    <t>volumen desarenador  m3</t>
  </si>
  <si>
    <r>
      <t>Volumen de lodos (m</t>
    </r>
    <r>
      <rPr>
        <sz val="11"/>
        <color theme="1"/>
        <rFont val="Calibri"/>
        <family val="2"/>
      </rPr>
      <t>³)</t>
    </r>
  </si>
  <si>
    <t>tiempo de vaciado min</t>
  </si>
  <si>
    <t>caudal de descarga m3/s</t>
  </si>
  <si>
    <t>caudal de diseño m3/s</t>
  </si>
  <si>
    <t>caudal de diseño l/s</t>
  </si>
  <si>
    <t>Tiempo de almacenamiento hr</t>
  </si>
  <si>
    <t>Tiempo de almacenamiento sg</t>
  </si>
  <si>
    <t>Volumen  del tanque M3</t>
  </si>
  <si>
    <t>DIMENSIONES</t>
  </si>
  <si>
    <t>Alto útil (m)</t>
  </si>
  <si>
    <t>Espesor de la capa de lodos (m)</t>
  </si>
  <si>
    <t>Volumen del desarenador</t>
  </si>
  <si>
    <t>m3</t>
  </si>
  <si>
    <t>Dimensiones</t>
  </si>
  <si>
    <t>Ancho</t>
  </si>
  <si>
    <t>largo</t>
  </si>
  <si>
    <t>m</t>
  </si>
  <si>
    <t>Alto útil</t>
  </si>
  <si>
    <t>Volumen útil</t>
  </si>
  <si>
    <t>Volumen (m3)</t>
  </si>
  <si>
    <t>1.  DIÁMETRO Y PESO ESPECÍFICO</t>
  </si>
  <si>
    <t>Diámetro partícula d (mm)</t>
  </si>
  <si>
    <r>
      <t xml:space="preserve">Peso específico del material </t>
    </r>
    <r>
      <rPr>
        <b/>
        <sz val="16"/>
        <color theme="1"/>
        <rFont val="Arial"/>
        <family val="2"/>
      </rPr>
      <t>ρ</t>
    </r>
    <r>
      <rPr>
        <b/>
        <sz val="11"/>
        <color theme="1"/>
        <rFont val="Arial"/>
        <family val="2"/>
      </rPr>
      <t>s (g/cm3)</t>
    </r>
  </si>
  <si>
    <t>Temperatura °C</t>
  </si>
  <si>
    <t>2.  CÁLCULO DE LA VELOCIDAD DE SEDIMENTACIÓN W</t>
  </si>
  <si>
    <t>Metodología A</t>
  </si>
  <si>
    <t>Metodología B</t>
  </si>
  <si>
    <t>Ley de Allen (Para flujo de transición)</t>
  </si>
  <si>
    <t>Arkhangelski (1935)</t>
  </si>
  <si>
    <t>Nomograma Stokes y Sellerio</t>
  </si>
  <si>
    <t>OWENS</t>
  </si>
  <si>
    <t>Scotti – Foglieni</t>
  </si>
  <si>
    <t>STOKES (para flujo laminar)</t>
  </si>
  <si>
    <t>Iteración N°</t>
  </si>
  <si>
    <t>W (m/s)</t>
  </si>
  <si>
    <t>W Stokes (m/s)</t>
  </si>
  <si>
    <t>Constante K</t>
  </si>
  <si>
    <t xml:space="preserve">Diámetro partícula d (mm) </t>
  </si>
  <si>
    <t>Viscosidad cinemática ŋ (cm^2/s)</t>
  </si>
  <si>
    <r>
      <t xml:space="preserve">Peso específico del material </t>
    </r>
    <r>
      <rPr>
        <sz val="16"/>
        <color theme="1"/>
        <rFont val="Arial"/>
        <family val="2"/>
      </rPr>
      <t>ρ</t>
    </r>
    <r>
      <rPr>
        <sz val="11"/>
        <color theme="1"/>
        <rFont val="Calibri"/>
        <family val="2"/>
        <scheme val="minor"/>
      </rPr>
      <t>s (g/cm3)</t>
    </r>
  </si>
  <si>
    <t>W Sellerio (m/s)</t>
  </si>
  <si>
    <t>Reynolds</t>
  </si>
  <si>
    <t>Vs (m/s)</t>
  </si>
  <si>
    <t>Coeficiente de arrastre CD</t>
  </si>
  <si>
    <t>W Promedio método A (m/s)</t>
  </si>
  <si>
    <t>MULTIPLICAR DATOS * 10^(-2) para obtener Viscosidad en unidades de cm^2/s</t>
  </si>
  <si>
    <t>Tabla Arkhangelski (1935)</t>
  </si>
  <si>
    <t>W Final (m/s)</t>
  </si>
  <si>
    <t xml:space="preserve">3. CÁLCULO DE LAS DIMENSIONES DEL DESARENADOR </t>
  </si>
  <si>
    <t>Área Superficial del desarenador  As (m2)</t>
  </si>
  <si>
    <t>Se calcula el Área Superfical, considerando un factor de seguridad a partir de la tabla Porcentaje de remoción vs Carga de tratamiento. Buen comportamiento n=1/3. Para una eficiencia del 90%. K=3.6</t>
  </si>
  <si>
    <t>Coeficiente de seguridad K</t>
  </si>
  <si>
    <t>Caudal Q (m3/s)</t>
  </si>
  <si>
    <t>Altura h (m)</t>
  </si>
  <si>
    <t>Debe estar entre 0.75 y 1.5m (RAS)</t>
  </si>
  <si>
    <t>Área Transversal At (m2)</t>
  </si>
  <si>
    <t>At = h*b</t>
  </si>
  <si>
    <t xml:space="preserve">Velocidad de flujo V (m/s) </t>
  </si>
  <si>
    <t>V = Q/At</t>
  </si>
  <si>
    <t>Ancho desarenador b (m)</t>
  </si>
  <si>
    <t>b=As/L</t>
  </si>
  <si>
    <t>Longitud desarenador L (m)</t>
  </si>
  <si>
    <t>L= 2*RAIZ(As)</t>
  </si>
  <si>
    <t>Tiempo de retención (s)</t>
  </si>
  <si>
    <t>V/W</t>
  </si>
  <si>
    <t>Esta relación debe ser menor a 20 (RAS)</t>
  </si>
  <si>
    <t>Volumen del tanque (m3)</t>
  </si>
  <si>
    <t>V= h*L*b</t>
  </si>
  <si>
    <t>Carga superficial (m3/m2/día)</t>
  </si>
  <si>
    <t>4. VELOCIDAD LÍMITE QUE RESUSPENDE EL MATERIAL</t>
  </si>
  <si>
    <t>Factor de fricción para desplazamiento horizontal (f)</t>
  </si>
  <si>
    <t>Velocidad límite que resuspende el material</t>
  </si>
  <si>
    <t>rugosidad absoluta Ks (m)</t>
  </si>
  <si>
    <t>Factor de forma k</t>
  </si>
  <si>
    <t xml:space="preserve">Radio hidráulico de la sección vertical R (m) </t>
  </si>
  <si>
    <t>Reynolds para desplazamiento horizontal NR</t>
  </si>
  <si>
    <t>Velocidad horizontal VH (m/s)</t>
  </si>
  <si>
    <t>Velocidad límite que resuspende</t>
  </si>
  <si>
    <t>Viscosidad cinemática del agua v (cm^2/s)</t>
  </si>
  <si>
    <t>Si VH &lt; Vd no habrá resuspensión de material</t>
  </si>
  <si>
    <t>5. CÁLCULO DE LA LONGITUD DE LA TRANSICIÓN</t>
  </si>
  <si>
    <t>Espejo de agua del desarenador B (m)</t>
  </si>
  <si>
    <t>Espejo de agua en el canal de entrada b (m)</t>
  </si>
  <si>
    <t>Ángulo de divergencia ө</t>
  </si>
  <si>
    <t>Longitud de la transición L1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</si>
</sst>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0\ &quot;l/s&quot;"/>
    <numFmt numFmtId="165" formatCode="0\ &quot;días&quot;"/>
    <numFmt numFmtId="166" formatCode="0.00\ &quot;Kg&quot;"/>
    <numFmt numFmtId="167" formatCode="0\ &quot;Kg/m3&quot;"/>
    <numFmt numFmtId="168" formatCode="0.0\ &quot;m&quot;"/>
    <numFmt numFmtId="169" formatCode="0.00\ &quot;m2&quot;"/>
    <numFmt numFmtId="170" formatCode="0.0\ &quot;mg/l&quot;"/>
    <numFmt numFmtId="171" formatCode="0.0000\ &quot;m3/s&quot;"/>
    <numFmt numFmtId="172" formatCode="0.000&quot;Kg/d&quot;"/>
    <numFmt numFmtId="173" formatCode="0.0000000"/>
    <numFmt numFmtId="174" formatCode="0.000\ &quot;m2&quot;"/>
    <numFmt numFmtId="175" formatCode="0.00\ &quot;m3&quot;"/>
    <numFmt numFmtId="176" formatCode="0.000"/>
    <numFmt numFmtId="177" formatCode="0.0000"/>
    <numFmt numFmtId="178" formatCode="0.000000000"/>
    <numFmt numFmtId="179" formatCode="0.00000"/>
    <numFmt numFmtId="180" formatCode="0.000000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164" fontId="0" fillId="0" borderId="0" xfId="0" applyNumberFormat="1"/>
    <xf numFmtId="166" fontId="0" fillId="0" borderId="0" xfId="0" applyNumberFormat="1"/>
    <xf numFmtId="165" fontId="0" fillId="2" borderId="0" xfId="0" applyNumberFormat="1" applyFill="1"/>
    <xf numFmtId="167" fontId="0" fillId="2" borderId="0" xfId="0" applyNumberFormat="1" applyFill="1"/>
    <xf numFmtId="168" fontId="0" fillId="2" borderId="0" xfId="0" applyNumberFormat="1" applyFill="1"/>
    <xf numFmtId="169" fontId="0" fillId="0" borderId="0" xfId="0" applyNumberFormat="1"/>
    <xf numFmtId="168" fontId="0" fillId="3" borderId="0" xfId="0" applyNumberFormat="1" applyFill="1"/>
    <xf numFmtId="0" fontId="1" fillId="0" borderId="0" xfId="0" applyFont="1"/>
    <xf numFmtId="0" fontId="0" fillId="0" borderId="0" xfId="0" applyAlignment="1">
      <alignment horizontal="center" vertical="center"/>
    </xf>
    <xf numFmtId="170" fontId="0" fillId="2" borderId="0" xfId="0" applyNumberFormat="1" applyFill="1"/>
    <xf numFmtId="171" fontId="0" fillId="2" borderId="0" xfId="0" applyNumberFormat="1" applyFill="1"/>
    <xf numFmtId="2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0" fillId="5" borderId="1" xfId="0" applyFill="1" applyBorder="1" applyAlignment="1">
      <alignment horizontal="left" vertical="center"/>
    </xf>
    <xf numFmtId="175" fontId="0" fillId="4" borderId="0" xfId="0" applyNumberFormat="1" applyFill="1"/>
    <xf numFmtId="176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5" borderId="1" xfId="0" applyFill="1" applyBorder="1"/>
    <xf numFmtId="0" fontId="4" fillId="0" borderId="0" xfId="1"/>
    <xf numFmtId="0" fontId="5" fillId="0" borderId="0" xfId="1" applyFont="1"/>
    <xf numFmtId="0" fontId="5" fillId="0" borderId="1" xfId="1" applyFont="1" applyBorder="1" applyAlignment="1">
      <alignment vertical="center" wrapText="1"/>
    </xf>
    <xf numFmtId="0" fontId="4" fillId="5" borderId="1" xfId="1" applyFill="1" applyBorder="1" applyAlignment="1">
      <alignment horizontal="center" vertical="center"/>
    </xf>
    <xf numFmtId="0" fontId="4" fillId="0" borderId="0" xfId="1" applyBorder="1" applyAlignment="1">
      <alignment horizontal="center" vertical="center"/>
    </xf>
    <xf numFmtId="0" fontId="6" fillId="0" borderId="0" xfId="1" applyFont="1" applyFill="1" applyBorder="1" applyAlignment="1">
      <alignment vertical="center" wrapText="1"/>
    </xf>
    <xf numFmtId="176" fontId="7" fillId="0" borderId="0" xfId="1" applyNumberFormat="1" applyFont="1" applyFill="1" applyBorder="1" applyAlignment="1">
      <alignment vertical="center"/>
    </xf>
    <xf numFmtId="0" fontId="7" fillId="0" borderId="0" xfId="1" applyFont="1" applyFill="1" applyBorder="1"/>
    <xf numFmtId="0" fontId="5" fillId="0" borderId="1" xfId="1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/>
    </xf>
    <xf numFmtId="0" fontId="4" fillId="0" borderId="0" xfId="1" applyBorder="1"/>
    <xf numFmtId="0" fontId="9" fillId="0" borderId="0" xfId="1" applyFont="1"/>
    <xf numFmtId="0" fontId="4" fillId="0" borderId="1" xfId="1" applyBorder="1" applyAlignment="1">
      <alignment horizontal="center" vertical="center" wrapText="1"/>
    </xf>
    <xf numFmtId="0" fontId="4" fillId="0" borderId="1" xfId="1" applyBorder="1" applyAlignment="1">
      <alignment horizontal="center" vertical="center"/>
    </xf>
    <xf numFmtId="0" fontId="4" fillId="0" borderId="0" xfId="1" applyFill="1"/>
    <xf numFmtId="0" fontId="5" fillId="0" borderId="1" xfId="1" applyFont="1" applyBorder="1" applyAlignment="1">
      <alignment horizontal="center" vertical="center"/>
    </xf>
    <xf numFmtId="0" fontId="4" fillId="0" borderId="1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4" fillId="0" borderId="1" xfId="1" applyBorder="1" applyAlignment="1">
      <alignment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77" fontId="4" fillId="6" borderId="1" xfId="1" applyNumberFormat="1" applyFill="1" applyBorder="1" applyAlignment="1">
      <alignment horizontal="center" vertical="center"/>
    </xf>
    <xf numFmtId="177" fontId="4" fillId="6" borderId="1" xfId="1" applyNumberFormat="1" applyFill="1" applyBorder="1" applyAlignment="1">
      <alignment horizontal="center" vertical="center" wrapText="1"/>
    </xf>
    <xf numFmtId="0" fontId="4" fillId="0" borderId="1" xfId="1" applyBorder="1"/>
    <xf numFmtId="0" fontId="4" fillId="6" borderId="1" xfId="1" applyFill="1" applyBorder="1"/>
    <xf numFmtId="178" fontId="4" fillId="0" borderId="1" xfId="1" applyNumberFormat="1" applyBorder="1"/>
    <xf numFmtId="179" fontId="5" fillId="6" borderId="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7" borderId="0" xfId="1" applyFont="1" applyFill="1" applyAlignment="1">
      <alignment horizontal="center" wrapText="1"/>
    </xf>
    <xf numFmtId="0" fontId="5" fillId="7" borderId="0" xfId="1" applyFont="1" applyFill="1" applyAlignment="1">
      <alignment horizontal="center" wrapText="1"/>
    </xf>
    <xf numFmtId="0" fontId="5" fillId="0" borderId="0" xfId="1" applyFont="1" applyFill="1" applyAlignment="1">
      <alignment wrapText="1"/>
    </xf>
    <xf numFmtId="0" fontId="5" fillId="0" borderId="0" xfId="1" applyFont="1" applyAlignment="1">
      <alignment horizontal="center" vertical="center"/>
    </xf>
    <xf numFmtId="0" fontId="5" fillId="8" borderId="0" xfId="1" applyFont="1" applyFill="1" applyAlignment="1">
      <alignment horizontal="center" wrapText="1"/>
    </xf>
    <xf numFmtId="180" fontId="5" fillId="5" borderId="1" xfId="1" applyNumberFormat="1" applyFont="1" applyFill="1" applyBorder="1" applyAlignment="1">
      <alignment horizontal="center" vertical="center"/>
    </xf>
    <xf numFmtId="2" fontId="4" fillId="6" borderId="1" xfId="1" applyNumberFormat="1" applyFill="1" applyBorder="1" applyAlignment="1">
      <alignment horizontal="center" vertical="center"/>
    </xf>
    <xf numFmtId="177" fontId="4" fillId="5" borderId="1" xfId="1" applyNumberFormat="1" applyFill="1" applyBorder="1" applyAlignment="1">
      <alignment horizontal="center" vertical="center" wrapText="1"/>
    </xf>
    <xf numFmtId="180" fontId="4" fillId="6" borderId="1" xfId="1" applyNumberForma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0" borderId="0" xfId="1" applyFill="1" applyBorder="1"/>
    <xf numFmtId="0" fontId="5" fillId="0" borderId="0" xfId="1" applyFont="1" applyFill="1" applyBorder="1" applyAlignment="1">
      <alignment horizontal="left" vertical="center"/>
    </xf>
    <xf numFmtId="0" fontId="4" fillId="0" borderId="0" xfId="1" applyFill="1" applyBorder="1" applyAlignment="1">
      <alignment horizontal="center" wrapText="1"/>
    </xf>
    <xf numFmtId="0" fontId="4" fillId="0" borderId="0" xfId="1" applyFill="1" applyBorder="1" applyAlignment="1">
      <alignment wrapText="1"/>
    </xf>
    <xf numFmtId="0" fontId="4" fillId="0" borderId="1" xfId="1" applyFill="1" applyBorder="1" applyAlignment="1">
      <alignment wrapText="1"/>
    </xf>
    <xf numFmtId="176" fontId="4" fillId="0" borderId="1" xfId="1" applyNumberFormat="1" applyFill="1" applyBorder="1" applyAlignment="1">
      <alignment horizontal="center" vertical="center"/>
    </xf>
    <xf numFmtId="2" fontId="4" fillId="0" borderId="1" xfId="1" applyNumberFormat="1" applyFill="1" applyBorder="1" applyAlignment="1">
      <alignment horizontal="center" vertical="center"/>
    </xf>
    <xf numFmtId="0" fontId="4" fillId="0" borderId="1" xfId="1" applyFont="1" applyFill="1" applyBorder="1" applyAlignment="1">
      <alignment wrapText="1"/>
    </xf>
    <xf numFmtId="177" fontId="4" fillId="0" borderId="1" xfId="1" applyNumberForma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4" fillId="0" borderId="1" xfId="1" applyFill="1" applyBorder="1"/>
    <xf numFmtId="0" fontId="5" fillId="0" borderId="0" xfId="1" applyFont="1" applyFill="1" applyBorder="1"/>
    <xf numFmtId="0" fontId="5" fillId="0" borderId="1" xfId="1" applyFont="1" applyFill="1" applyBorder="1" applyAlignment="1">
      <alignment wrapText="1"/>
    </xf>
    <xf numFmtId="177" fontId="4" fillId="0" borderId="1" xfId="1" applyNumberFormat="1" applyFill="1" applyBorder="1" applyAlignment="1">
      <alignment horizontal="center" vertical="center" wrapText="1"/>
    </xf>
    <xf numFmtId="0" fontId="5" fillId="0" borderId="1" xfId="1" applyFont="1" applyBorder="1" applyAlignment="1">
      <alignment wrapText="1"/>
    </xf>
    <xf numFmtId="177" fontId="4" fillId="0" borderId="1" xfId="1" applyNumberFormat="1" applyBorder="1" applyAlignment="1">
      <alignment horizontal="center" vertical="center"/>
    </xf>
    <xf numFmtId="176" fontId="4" fillId="6" borderId="1" xfId="1" applyNumberForma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2"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21</xdr:row>
      <xdr:rowOff>38100</xdr:rowOff>
    </xdr:from>
    <xdr:to>
      <xdr:col>4</xdr:col>
      <xdr:colOff>342900</xdr:colOff>
      <xdr:row>21</xdr:row>
      <xdr:rowOff>514350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365" y="8686800"/>
          <a:ext cx="2512695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276225</xdr:colOff>
      <xdr:row>23</xdr:row>
      <xdr:rowOff>19051</xdr:rowOff>
    </xdr:from>
    <xdr:to>
      <xdr:col>4</xdr:col>
      <xdr:colOff>276225</xdr:colOff>
      <xdr:row>24</xdr:row>
      <xdr:rowOff>51175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2665" y="9704071"/>
          <a:ext cx="2331720" cy="46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26</xdr:row>
      <xdr:rowOff>171451</xdr:rowOff>
    </xdr:from>
    <xdr:to>
      <xdr:col>4</xdr:col>
      <xdr:colOff>428625</xdr:colOff>
      <xdr:row>47</xdr:row>
      <xdr:rowOff>42630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540" y="10755631"/>
          <a:ext cx="3865245" cy="35516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876300</xdr:colOff>
      <xdr:row>26</xdr:row>
      <xdr:rowOff>142875</xdr:rowOff>
    </xdr:from>
    <xdr:to>
      <xdr:col>6</xdr:col>
      <xdr:colOff>1066800</xdr:colOff>
      <xdr:row>47</xdr:row>
      <xdr:rowOff>149773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4460" y="10727055"/>
          <a:ext cx="2400300" cy="36873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504825</xdr:colOff>
      <xdr:row>19</xdr:row>
      <xdr:rowOff>0</xdr:rowOff>
    </xdr:from>
    <xdr:to>
      <xdr:col>15</xdr:col>
      <xdr:colOff>866</xdr:colOff>
      <xdr:row>56</xdr:row>
      <xdr:rowOff>13335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725" y="8298180"/>
          <a:ext cx="3813810" cy="822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86675</xdr:colOff>
      <xdr:row>15</xdr:row>
      <xdr:rowOff>0</xdr:rowOff>
    </xdr:from>
    <xdr:to>
      <xdr:col>15</xdr:col>
      <xdr:colOff>447674</xdr:colOff>
      <xdr:row>16</xdr:row>
      <xdr:rowOff>19050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3095" y="5989320"/>
          <a:ext cx="2067879" cy="6515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400049</xdr:colOff>
      <xdr:row>21</xdr:row>
      <xdr:rowOff>76201</xdr:rowOff>
    </xdr:from>
    <xdr:to>
      <xdr:col>7</xdr:col>
      <xdr:colOff>628649</xdr:colOff>
      <xdr:row>23</xdr:row>
      <xdr:rowOff>202801</xdr:rowOff>
    </xdr:to>
    <xdr:pic>
      <xdr:nvPicPr>
        <xdr:cNvPr id="8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8209" y="8724901"/>
          <a:ext cx="3535680" cy="116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123825</xdr:colOff>
      <xdr:row>16</xdr:row>
      <xdr:rowOff>152400</xdr:rowOff>
    </xdr:from>
    <xdr:to>
      <xdr:col>14</xdr:col>
      <xdr:colOff>438150</xdr:colOff>
      <xdr:row>17</xdr:row>
      <xdr:rowOff>142875</xdr:rowOff>
    </xdr:to>
    <xdr:pic>
      <xdr:nvPicPr>
        <xdr:cNvPr id="9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90245" y="6774180"/>
          <a:ext cx="1167765" cy="6229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28575</xdr:colOff>
      <xdr:row>15</xdr:row>
      <xdr:rowOff>28575</xdr:rowOff>
    </xdr:from>
    <xdr:to>
      <xdr:col>19</xdr:col>
      <xdr:colOff>2770</xdr:colOff>
      <xdr:row>15</xdr:row>
      <xdr:rowOff>534626</xdr:rowOff>
    </xdr:to>
    <xdr:pic>
      <xdr:nvPicPr>
        <xdr:cNvPr id="10" name="Imagen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8755" y="6017895"/>
          <a:ext cx="1624964" cy="506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409574</xdr:colOff>
      <xdr:row>16</xdr:row>
      <xdr:rowOff>38100</xdr:rowOff>
    </xdr:from>
    <xdr:to>
      <xdr:col>19</xdr:col>
      <xdr:colOff>2930</xdr:colOff>
      <xdr:row>17</xdr:row>
      <xdr:rowOff>51875</xdr:rowOff>
    </xdr:to>
    <xdr:pic>
      <xdr:nvPicPr>
        <xdr:cNvPr id="11" name="Imagen 1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6314" y="6659880"/>
          <a:ext cx="2153676" cy="646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771525</xdr:colOff>
      <xdr:row>87</xdr:row>
      <xdr:rowOff>19050</xdr:rowOff>
    </xdr:from>
    <xdr:to>
      <xdr:col>7</xdr:col>
      <xdr:colOff>228600</xdr:colOff>
      <xdr:row>89</xdr:row>
      <xdr:rowOff>57371</xdr:rowOff>
    </xdr:to>
    <xdr:pic>
      <xdr:nvPicPr>
        <xdr:cNvPr id="12" name="Imagen 1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585" y="28456890"/>
          <a:ext cx="1659255" cy="838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352424</xdr:colOff>
      <xdr:row>57</xdr:row>
      <xdr:rowOff>152401</xdr:rowOff>
    </xdr:from>
    <xdr:to>
      <xdr:col>18</xdr:col>
      <xdr:colOff>781049</xdr:colOff>
      <xdr:row>68</xdr:row>
      <xdr:rowOff>442628</xdr:rowOff>
    </xdr:to>
    <xdr:pic>
      <xdr:nvPicPr>
        <xdr:cNvPr id="13" name="Imagen 1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5764" y="17183101"/>
          <a:ext cx="6478905" cy="4184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352424</xdr:colOff>
      <xdr:row>70</xdr:row>
      <xdr:rowOff>104776</xdr:rowOff>
    </xdr:from>
    <xdr:to>
      <xdr:col>3</xdr:col>
      <xdr:colOff>2930</xdr:colOff>
      <xdr:row>73</xdr:row>
      <xdr:rowOff>142324</xdr:rowOff>
    </xdr:to>
    <xdr:pic>
      <xdr:nvPicPr>
        <xdr:cNvPr id="14" name="Imagen 1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4" y="21684616"/>
          <a:ext cx="2767086" cy="7538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295275</xdr:colOff>
      <xdr:row>76</xdr:row>
      <xdr:rowOff>152400</xdr:rowOff>
    </xdr:from>
    <xdr:to>
      <xdr:col>2</xdr:col>
      <xdr:colOff>800100</xdr:colOff>
      <xdr:row>76</xdr:row>
      <xdr:rowOff>457200</xdr:rowOff>
    </xdr:to>
    <xdr:pic>
      <xdr:nvPicPr>
        <xdr:cNvPr id="15" name="Imagen 1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715" y="23667720"/>
          <a:ext cx="16478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333375</xdr:colOff>
      <xdr:row>77</xdr:row>
      <xdr:rowOff>19050</xdr:rowOff>
    </xdr:from>
    <xdr:to>
      <xdr:col>9</xdr:col>
      <xdr:colOff>466725</xdr:colOff>
      <xdr:row>78</xdr:row>
      <xdr:rowOff>114299</xdr:rowOff>
    </xdr:to>
    <xdr:pic>
      <xdr:nvPicPr>
        <xdr:cNvPr id="16" name="Imagen 15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8615" y="24060150"/>
          <a:ext cx="227457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AD88"/>
  <sheetViews>
    <sheetView tabSelected="1" zoomScale="110" zoomScaleNormal="110" workbookViewId="0">
      <selection activeCell="F85" sqref="F85"/>
    </sheetView>
  </sheetViews>
  <sheetFormatPr baseColWidth="10" defaultRowHeight="13.8" x14ac:dyDescent="0.25"/>
  <cols>
    <col min="1" max="1" width="11.5546875" style="22"/>
    <col min="2" max="2" width="16.6640625" style="22" customWidth="1"/>
    <col min="3" max="3" width="16.33203125" style="22" customWidth="1"/>
    <col min="4" max="4" width="17.6640625" style="22" customWidth="1"/>
    <col min="5" max="6" width="16.109375" style="22" customWidth="1"/>
    <col min="7" max="7" width="16" style="22" customWidth="1"/>
    <col min="8" max="8" width="18.5546875" style="22" customWidth="1"/>
    <col min="9" max="9" width="12.6640625" style="22" bestFit="1" customWidth="1"/>
    <col min="10" max="12" width="11.5546875" style="22"/>
    <col min="13" max="13" width="13.5546875" style="22" bestFit="1" customWidth="1"/>
    <col min="14" max="16384" width="11.5546875" style="22"/>
  </cols>
  <sheetData>
    <row r="3" spans="2:30" x14ac:dyDescent="0.25">
      <c r="D3" s="23" t="s">
        <v>36</v>
      </c>
      <c r="E3" s="23"/>
      <c r="F3" s="23"/>
      <c r="G3" s="23"/>
      <c r="H3" s="23"/>
    </row>
    <row r="6" spans="2:30" ht="47.25" customHeight="1" x14ac:dyDescent="0.25">
      <c r="C6" s="24" t="s">
        <v>37</v>
      </c>
      <c r="D6" s="25">
        <v>0.01</v>
      </c>
      <c r="E6" s="26"/>
      <c r="F6" s="26"/>
      <c r="G6" s="27"/>
      <c r="H6" s="28"/>
      <c r="I6" s="29"/>
    </row>
    <row r="7" spans="2:30" ht="47.25" customHeight="1" x14ac:dyDescent="0.25">
      <c r="C7" s="30" t="s">
        <v>38</v>
      </c>
      <c r="D7" s="25">
        <v>2.65</v>
      </c>
      <c r="E7" s="26"/>
      <c r="F7" s="26"/>
      <c r="G7" s="27"/>
      <c r="H7" s="28"/>
      <c r="I7" s="29"/>
    </row>
    <row r="8" spans="2:30" ht="29.25" customHeight="1" x14ac:dyDescent="0.25">
      <c r="C8" s="31" t="s">
        <v>39</v>
      </c>
      <c r="D8" s="31">
        <v>20</v>
      </c>
      <c r="F8" s="32"/>
      <c r="G8" s="29"/>
      <c r="H8" s="29"/>
      <c r="I8" s="29"/>
    </row>
    <row r="10" spans="2:30" x14ac:dyDescent="0.25">
      <c r="D10" s="23" t="s">
        <v>40</v>
      </c>
      <c r="E10" s="23"/>
      <c r="F10" s="23"/>
    </row>
    <row r="11" spans="2:30" ht="44.25" customHeight="1" x14ac:dyDescent="0.3">
      <c r="B11" s="33" t="s">
        <v>41</v>
      </c>
      <c r="L11" s="33" t="s">
        <v>42</v>
      </c>
      <c r="T11" s="23" t="s">
        <v>43</v>
      </c>
    </row>
    <row r="12" spans="2:30" ht="28.5" customHeight="1" x14ac:dyDescent="0.25">
      <c r="B12" s="34" t="s">
        <v>44</v>
      </c>
      <c r="C12" s="34"/>
      <c r="D12" s="34" t="s">
        <v>45</v>
      </c>
      <c r="E12" s="34"/>
      <c r="F12" s="35" t="s">
        <v>46</v>
      </c>
      <c r="G12" s="35"/>
      <c r="H12" s="35" t="s">
        <v>47</v>
      </c>
      <c r="I12" s="35"/>
      <c r="L12" s="23" t="s">
        <v>48</v>
      </c>
      <c r="R12" s="36"/>
      <c r="T12" s="37" t="s">
        <v>49</v>
      </c>
      <c r="U12" s="31">
        <v>1</v>
      </c>
      <c r="V12" s="31">
        <v>2</v>
      </c>
      <c r="W12" s="31">
        <v>3</v>
      </c>
      <c r="X12" s="38">
        <v>4</v>
      </c>
      <c r="Y12" s="39">
        <v>5</v>
      </c>
      <c r="Z12" s="39">
        <v>6</v>
      </c>
      <c r="AA12" s="39">
        <v>7</v>
      </c>
      <c r="AB12" s="39">
        <v>8</v>
      </c>
      <c r="AC12" s="39">
        <v>9</v>
      </c>
      <c r="AD12" s="39">
        <v>10</v>
      </c>
    </row>
    <row r="13" spans="2:30" ht="68.25" customHeight="1" x14ac:dyDescent="0.25">
      <c r="B13" s="31" t="s">
        <v>50</v>
      </c>
      <c r="C13" s="25">
        <v>6.9199999999999999E-3</v>
      </c>
      <c r="D13" s="31" t="s">
        <v>51</v>
      </c>
      <c r="E13" s="25">
        <v>0.02</v>
      </c>
      <c r="F13" s="31" t="s">
        <v>52</v>
      </c>
      <c r="G13" s="25">
        <v>1.28</v>
      </c>
      <c r="H13" s="40" t="s">
        <v>53</v>
      </c>
      <c r="I13" s="31">
        <f>D6</f>
        <v>0.01</v>
      </c>
      <c r="L13" s="41" t="s">
        <v>54</v>
      </c>
      <c r="M13" s="25">
        <v>1.0104999999999999E-2</v>
      </c>
      <c r="R13" s="36"/>
      <c r="T13" s="40" t="s">
        <v>55</v>
      </c>
      <c r="U13" s="31">
        <f>D7</f>
        <v>2.65</v>
      </c>
      <c r="V13" s="31">
        <f>U13</f>
        <v>2.65</v>
      </c>
      <c r="W13" s="31">
        <f>U13</f>
        <v>2.65</v>
      </c>
      <c r="X13" s="31">
        <f t="shared" ref="X13:AC14" si="0">W13</f>
        <v>2.65</v>
      </c>
      <c r="Y13" s="42">
        <f t="shared" si="0"/>
        <v>2.65</v>
      </c>
      <c r="Z13" s="42">
        <f t="shared" si="0"/>
        <v>2.65</v>
      </c>
      <c r="AA13" s="43">
        <f t="shared" si="0"/>
        <v>2.65</v>
      </c>
      <c r="AB13" s="43">
        <f t="shared" si="0"/>
        <v>2.65</v>
      </c>
      <c r="AC13" s="43">
        <f t="shared" si="0"/>
        <v>2.65</v>
      </c>
      <c r="AD13" s="43">
        <f>AB13</f>
        <v>2.65</v>
      </c>
    </row>
    <row r="14" spans="2:30" ht="61.8" x14ac:dyDescent="0.25">
      <c r="D14" s="31" t="s">
        <v>56</v>
      </c>
      <c r="E14" s="25">
        <v>0.02</v>
      </c>
      <c r="F14" s="40" t="s">
        <v>55</v>
      </c>
      <c r="G14" s="25">
        <f>D7</f>
        <v>2.65</v>
      </c>
      <c r="H14" s="31" t="s">
        <v>50</v>
      </c>
      <c r="I14" s="44">
        <f>((3.8)*((I13/1000)^0.5))+(8.3*I13/1000)</f>
        <v>1.2099655108639841E-2</v>
      </c>
      <c r="L14" s="40" t="s">
        <v>55</v>
      </c>
      <c r="M14" s="31">
        <f>D7</f>
        <v>2.65</v>
      </c>
      <c r="R14" s="36"/>
      <c r="T14" s="40" t="s">
        <v>53</v>
      </c>
      <c r="U14" s="31">
        <f>D6</f>
        <v>0.01</v>
      </c>
      <c r="V14" s="31">
        <f>U14</f>
        <v>0.01</v>
      </c>
      <c r="W14" s="31">
        <f>U14</f>
        <v>0.01</v>
      </c>
      <c r="X14" s="31">
        <f t="shared" si="0"/>
        <v>0.01</v>
      </c>
      <c r="Y14" s="42">
        <f t="shared" si="0"/>
        <v>0.01</v>
      </c>
      <c r="Z14" s="42">
        <f t="shared" si="0"/>
        <v>0.01</v>
      </c>
      <c r="AA14" s="43">
        <f t="shared" si="0"/>
        <v>0.01</v>
      </c>
      <c r="AB14" s="43">
        <f t="shared" si="0"/>
        <v>0.01</v>
      </c>
      <c r="AC14" s="43">
        <f t="shared" si="0"/>
        <v>0.01</v>
      </c>
      <c r="AD14" s="43">
        <f>AC14</f>
        <v>0.01</v>
      </c>
    </row>
    <row r="15" spans="2:30" ht="51" customHeight="1" x14ac:dyDescent="0.25">
      <c r="F15" s="40" t="s">
        <v>53</v>
      </c>
      <c r="G15" s="31">
        <f>D6</f>
        <v>0.01</v>
      </c>
      <c r="L15" s="40" t="s">
        <v>53</v>
      </c>
      <c r="M15" s="31">
        <f>D6</f>
        <v>0.01</v>
      </c>
      <c r="R15" s="36"/>
      <c r="T15" s="31" t="s">
        <v>57</v>
      </c>
      <c r="U15" s="31">
        <f>M17</f>
        <v>8.8035833218466533E-4</v>
      </c>
      <c r="V15" s="31">
        <f>((U17*100)*(V14/10))/M13</f>
        <v>8.7872483972326249E-4</v>
      </c>
      <c r="W15" s="31">
        <f>((V17*100)*(W14/10))/M13</f>
        <v>8.7791074604598831E-4</v>
      </c>
      <c r="X15" s="31">
        <f>((W17*100)*(X14/10))/M13</f>
        <v>8.7750473759910742E-4</v>
      </c>
      <c r="Y15" s="31">
        <f>((X17*100)*(Y14/10))/M13</f>
        <v>8.7730218063222494E-4</v>
      </c>
      <c r="Z15" s="42">
        <f>((Y17*100)*(Z14/10))/M13</f>
        <v>8.7720110769820797E-4</v>
      </c>
      <c r="AA15" s="42">
        <f>((Z17*100)*(AA14/10))/M13</f>
        <v>8.7715066941735124E-4</v>
      </c>
      <c r="AB15" s="42">
        <f>((AA17*100)*(AB14/10))/M13</f>
        <v>8.7712549818371691E-4</v>
      </c>
      <c r="AC15" s="42">
        <f>((AB17*100)*(AC14/10))/M13</f>
        <v>8.7711293620308531E-4</v>
      </c>
      <c r="AD15" s="42">
        <f>((AC17*100)*(AD14/10))/M13</f>
        <v>8.7710666694099267E-4</v>
      </c>
    </row>
    <row r="16" spans="2:30" ht="50.25" customHeight="1" x14ac:dyDescent="0.25">
      <c r="F16" s="31" t="s">
        <v>50</v>
      </c>
      <c r="G16" s="45">
        <f>G13*((G15/1000)*(G14-1))^0.5</f>
        <v>5.1993845789670146E-3</v>
      </c>
      <c r="L16" s="46" t="s">
        <v>58</v>
      </c>
      <c r="M16" s="47">
        <f>((1/18)*(980.665)*((M14-1)/(M13))*((M15/10)^2))/100</f>
        <v>8.896020946726042E-5</v>
      </c>
      <c r="R16" s="36"/>
      <c r="T16" s="40" t="s">
        <v>59</v>
      </c>
      <c r="U16" s="31">
        <f t="shared" ref="U16:AD16" si="1">(24/U15)+(3/(SQRT(U15)))+0.34</f>
        <v>27363.075852440703</v>
      </c>
      <c r="V16" s="31">
        <f t="shared" si="1"/>
        <v>27413.84738143496</v>
      </c>
      <c r="W16" s="31">
        <f t="shared" si="1"/>
        <v>27439.221212533765</v>
      </c>
      <c r="X16" s="31">
        <f t="shared" si="1"/>
        <v>27451.89335031826</v>
      </c>
      <c r="Y16" s="31">
        <f t="shared" si="1"/>
        <v>27458.219843139523</v>
      </c>
      <c r="Z16" s="42">
        <f t="shared" si="1"/>
        <v>27461.377761776348</v>
      </c>
      <c r="AA16" s="42">
        <f t="shared" si="1"/>
        <v>27462.953925450402</v>
      </c>
      <c r="AB16" s="42">
        <f t="shared" si="1"/>
        <v>27463.74057800453</v>
      </c>
      <c r="AC16" s="42">
        <f t="shared" si="1"/>
        <v>27464.133182483667</v>
      </c>
      <c r="AD16" s="42">
        <f t="shared" si="1"/>
        <v>27464.329122381248</v>
      </c>
    </row>
    <row r="17" spans="2:30" ht="50.25" customHeight="1" x14ac:dyDescent="0.25">
      <c r="L17" s="46" t="s">
        <v>57</v>
      </c>
      <c r="M17" s="48">
        <f>((M16*100)*(M15/10))/M13</f>
        <v>8.8035833218466533E-4</v>
      </c>
      <c r="R17" s="36"/>
      <c r="T17" s="31" t="s">
        <v>58</v>
      </c>
      <c r="U17" s="43">
        <f t="shared" ref="U17:AD17" si="2">(SQRT((4/3)*((980.665/U16)*(U13-1))*(U14/10)))/100</f>
        <v>8.8795145054035657E-5</v>
      </c>
      <c r="V17" s="43">
        <f t="shared" si="2"/>
        <v>8.8712880887947113E-5</v>
      </c>
      <c r="W17" s="43">
        <f t="shared" si="2"/>
        <v>8.8671853734389802E-5</v>
      </c>
      <c r="X17" s="43">
        <f t="shared" si="2"/>
        <v>8.8651385352886322E-5</v>
      </c>
      <c r="Y17" s="43">
        <f t="shared" si="2"/>
        <v>8.8641171932903916E-5</v>
      </c>
      <c r="Z17" s="43">
        <f t="shared" si="2"/>
        <v>8.8636075144623335E-5</v>
      </c>
      <c r="AA17" s="43">
        <f t="shared" si="2"/>
        <v>8.863353159146459E-5</v>
      </c>
      <c r="AB17" s="43">
        <f t="shared" si="2"/>
        <v>8.8632262203321759E-5</v>
      </c>
      <c r="AC17" s="43">
        <f t="shared" si="2"/>
        <v>8.8631628694387307E-5</v>
      </c>
      <c r="AD17" s="43">
        <f t="shared" si="2"/>
        <v>8.8631312529678771E-5</v>
      </c>
    </row>
    <row r="18" spans="2:30" ht="45" customHeight="1" x14ac:dyDescent="0.25">
      <c r="B18" s="30" t="s">
        <v>60</v>
      </c>
      <c r="C18" s="49">
        <f>(C13+E13+E14+G16+I14)/5</f>
        <v>1.2843807937521374E-2</v>
      </c>
      <c r="D18" s="49"/>
      <c r="E18" s="49"/>
      <c r="F18" s="49"/>
      <c r="G18" s="49"/>
      <c r="H18" s="49"/>
      <c r="I18" s="49"/>
      <c r="R18" s="36"/>
      <c r="Y18" s="50"/>
    </row>
    <row r="19" spans="2:30" ht="37.5" customHeight="1" x14ac:dyDescent="0.25">
      <c r="K19" s="51" t="s">
        <v>61</v>
      </c>
      <c r="L19" s="51"/>
      <c r="M19" s="51"/>
      <c r="N19" s="51"/>
      <c r="O19" s="51"/>
      <c r="P19" s="51"/>
      <c r="Q19" s="52"/>
      <c r="R19" s="53"/>
    </row>
    <row r="22" spans="2:30" ht="41.25" customHeight="1" x14ac:dyDescent="0.25">
      <c r="B22" s="54" t="s">
        <v>46</v>
      </c>
      <c r="T22" s="55"/>
      <c r="U22" s="55"/>
      <c r="V22" s="55"/>
      <c r="W22" s="55"/>
      <c r="X22" s="55"/>
      <c r="Y22" s="55"/>
    </row>
    <row r="23" spans="2:30" ht="41.25" customHeight="1" x14ac:dyDescent="0.25">
      <c r="B23" s="54"/>
    </row>
    <row r="24" spans="2:30" ht="34.5" customHeight="1" x14ac:dyDescent="0.25">
      <c r="B24" s="54" t="s">
        <v>47</v>
      </c>
    </row>
    <row r="26" spans="2:30" ht="23.25" customHeight="1" x14ac:dyDescent="0.25">
      <c r="B26" s="23" t="s">
        <v>45</v>
      </c>
      <c r="F26" s="23" t="s">
        <v>62</v>
      </c>
    </row>
    <row r="51" spans="2:6" ht="35.25" customHeight="1" x14ac:dyDescent="0.25">
      <c r="B51" s="37" t="s">
        <v>63</v>
      </c>
      <c r="C51" s="56">
        <f>M16</f>
        <v>8.896020946726042E-5</v>
      </c>
    </row>
    <row r="53" spans="2:6" ht="21.75" customHeight="1" x14ac:dyDescent="0.25">
      <c r="D53" s="23" t="s">
        <v>64</v>
      </c>
    </row>
    <row r="54" spans="2:6" ht="21.75" customHeight="1" x14ac:dyDescent="0.25">
      <c r="D54" s="23"/>
    </row>
    <row r="55" spans="2:6" ht="21.75" customHeight="1" x14ac:dyDescent="0.25">
      <c r="D55" s="23"/>
    </row>
    <row r="56" spans="2:6" ht="21.75" customHeight="1" x14ac:dyDescent="0.25">
      <c r="D56" s="23"/>
    </row>
    <row r="57" spans="2:6" ht="41.4" x14ac:dyDescent="0.25">
      <c r="D57" s="41" t="s">
        <v>65</v>
      </c>
      <c r="E57" s="57">
        <f>(E59*E58)/E61</f>
        <v>4.0467530613502998</v>
      </c>
      <c r="F57" s="22" t="s">
        <v>66</v>
      </c>
    </row>
    <row r="58" spans="2:6" ht="27.6" x14ac:dyDescent="0.25">
      <c r="D58" s="41" t="s">
        <v>67</v>
      </c>
      <c r="E58" s="25">
        <v>3.6</v>
      </c>
    </row>
    <row r="59" spans="2:6" ht="20.25" customHeight="1" x14ac:dyDescent="0.25">
      <c r="D59" s="31" t="s">
        <v>68</v>
      </c>
      <c r="E59" s="58">
        <v>1E-4</v>
      </c>
    </row>
    <row r="60" spans="2:6" ht="23.25" customHeight="1" x14ac:dyDescent="0.25">
      <c r="D60" s="31" t="s">
        <v>69</v>
      </c>
      <c r="E60" s="58">
        <v>1</v>
      </c>
      <c r="F60" s="22" t="s">
        <v>70</v>
      </c>
    </row>
    <row r="61" spans="2:6" ht="23.25" customHeight="1" x14ac:dyDescent="0.25">
      <c r="D61" s="31" t="s">
        <v>50</v>
      </c>
      <c r="E61" s="59">
        <f>C51</f>
        <v>8.896020946726042E-5</v>
      </c>
    </row>
    <row r="62" spans="2:6" ht="31.95" customHeight="1" x14ac:dyDescent="0.25">
      <c r="D62" s="40" t="s">
        <v>71</v>
      </c>
      <c r="E62" s="45">
        <f>E64*E60</f>
        <v>1.0058271548022428</v>
      </c>
      <c r="F62" s="22" t="s">
        <v>72</v>
      </c>
    </row>
    <row r="63" spans="2:6" ht="27.6" x14ac:dyDescent="0.25">
      <c r="D63" s="40" t="s">
        <v>73</v>
      </c>
      <c r="E63" s="45">
        <f>E59/E62</f>
        <v>9.9420660421184543E-5</v>
      </c>
      <c r="F63" s="22" t="s">
        <v>74</v>
      </c>
    </row>
    <row r="64" spans="2:6" ht="27.6" x14ac:dyDescent="0.25">
      <c r="D64" s="40" t="s">
        <v>75</v>
      </c>
      <c r="E64" s="45">
        <f>E57/E65</f>
        <v>1.0058271548022428</v>
      </c>
      <c r="F64" s="22" t="s">
        <v>76</v>
      </c>
    </row>
    <row r="65" spans="2:13" ht="27.6" x14ac:dyDescent="0.25">
      <c r="D65" s="40" t="s">
        <v>77</v>
      </c>
      <c r="E65" s="44">
        <f>2*SQRT(E57)</f>
        <v>4.0233086192089713</v>
      </c>
      <c r="F65" s="22" t="s">
        <v>78</v>
      </c>
    </row>
    <row r="66" spans="2:13" ht="27.6" x14ac:dyDescent="0.25">
      <c r="D66" s="40" t="s">
        <v>79</v>
      </c>
      <c r="E66" s="45">
        <f>E68/E59</f>
        <v>40467.530613502997</v>
      </c>
    </row>
    <row r="67" spans="2:13" ht="24.75" customHeight="1" x14ac:dyDescent="0.25">
      <c r="D67" s="40" t="s">
        <v>80</v>
      </c>
      <c r="E67" s="45">
        <f>E63/E61</f>
        <v>1.1175857275580474</v>
      </c>
      <c r="F67" s="22" t="s">
        <v>81</v>
      </c>
    </row>
    <row r="68" spans="2:13" ht="47.25" customHeight="1" x14ac:dyDescent="0.25">
      <c r="D68" s="40" t="s">
        <v>82</v>
      </c>
      <c r="E68" s="44">
        <f>E60*E64*E65</f>
        <v>4.0467530613502998</v>
      </c>
      <c r="F68" s="22" t="s">
        <v>83</v>
      </c>
    </row>
    <row r="69" spans="2:13" ht="38.25" customHeight="1" x14ac:dyDescent="0.25">
      <c r="D69" s="60" t="s">
        <v>84</v>
      </c>
      <c r="E69" s="44">
        <f>(E59/E57)*86400</f>
        <v>2.1350450272142498</v>
      </c>
    </row>
    <row r="70" spans="2:13" x14ac:dyDescent="0.25"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</row>
    <row r="71" spans="2:13" x14ac:dyDescent="0.25">
      <c r="B71" s="61"/>
      <c r="C71" s="61"/>
      <c r="D71" s="62" t="s">
        <v>85</v>
      </c>
      <c r="E71" s="61"/>
      <c r="F71" s="61"/>
      <c r="G71" s="61"/>
      <c r="H71" s="61"/>
      <c r="I71" s="61"/>
      <c r="J71" s="61"/>
      <c r="K71" s="61"/>
      <c r="L71" s="61"/>
      <c r="M71" s="61"/>
    </row>
    <row r="72" spans="2:13" x14ac:dyDescent="0.25"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</row>
    <row r="73" spans="2:13" ht="29.25" customHeight="1" x14ac:dyDescent="0.25">
      <c r="B73" s="61"/>
      <c r="C73" s="61"/>
      <c r="D73" s="63" t="s">
        <v>86</v>
      </c>
      <c r="E73" s="63"/>
      <c r="F73" s="61" t="s">
        <v>87</v>
      </c>
      <c r="G73" s="61"/>
      <c r="H73" s="61"/>
      <c r="I73" s="61"/>
      <c r="J73" s="61"/>
      <c r="K73" s="61"/>
      <c r="L73" s="61"/>
      <c r="M73" s="61"/>
    </row>
    <row r="74" spans="2:13" x14ac:dyDescent="0.25">
      <c r="B74" s="61"/>
      <c r="C74" s="61"/>
      <c r="D74" s="64"/>
      <c r="E74" s="61"/>
      <c r="F74" s="61"/>
      <c r="G74" s="61"/>
      <c r="H74" s="61"/>
      <c r="I74" s="61"/>
      <c r="J74" s="61"/>
      <c r="K74" s="61"/>
      <c r="L74" s="61"/>
      <c r="M74" s="61"/>
    </row>
    <row r="75" spans="2:13" ht="34.5" customHeight="1" x14ac:dyDescent="0.25">
      <c r="B75" s="61"/>
      <c r="C75" s="61"/>
      <c r="D75" s="65" t="s">
        <v>88</v>
      </c>
      <c r="E75" s="66">
        <v>1E-3</v>
      </c>
      <c r="F75" s="65" t="s">
        <v>89</v>
      </c>
      <c r="G75" s="38">
        <v>0.04</v>
      </c>
      <c r="H75" s="61"/>
      <c r="I75" s="61"/>
      <c r="J75" s="61"/>
      <c r="K75" s="61"/>
      <c r="L75" s="61"/>
      <c r="M75" s="61"/>
    </row>
    <row r="76" spans="2:13" ht="48.6" x14ac:dyDescent="0.25">
      <c r="B76" s="61"/>
      <c r="C76" s="61"/>
      <c r="D76" s="65" t="s">
        <v>90</v>
      </c>
      <c r="E76" s="66">
        <f>(E64*E60)/(E64+(2*E60))</f>
        <v>0.33462574625932456</v>
      </c>
      <c r="F76" s="40" t="s">
        <v>55</v>
      </c>
      <c r="G76" s="31">
        <f>D7</f>
        <v>2.65</v>
      </c>
      <c r="H76" s="61"/>
      <c r="I76" s="61"/>
      <c r="J76" s="61"/>
      <c r="K76" s="61"/>
      <c r="L76" s="61"/>
      <c r="M76" s="61"/>
    </row>
    <row r="77" spans="2:13" ht="41.4" x14ac:dyDescent="0.25">
      <c r="B77" s="61"/>
      <c r="C77" s="61"/>
      <c r="D77" s="65" t="s">
        <v>91</v>
      </c>
      <c r="E77" s="67">
        <f>E78*4*E76/(E79/10000)</f>
        <v>131.69208386752607</v>
      </c>
      <c r="F77" s="40" t="s">
        <v>53</v>
      </c>
      <c r="G77" s="31">
        <f>M15</f>
        <v>0.01</v>
      </c>
      <c r="H77" s="61"/>
      <c r="I77" s="61"/>
      <c r="J77" s="61"/>
      <c r="K77" s="61"/>
      <c r="L77" s="61"/>
      <c r="M77" s="61"/>
    </row>
    <row r="78" spans="2:13" ht="57" customHeight="1" x14ac:dyDescent="0.25">
      <c r="B78" s="61"/>
      <c r="C78" s="61"/>
      <c r="D78" s="68" t="s">
        <v>92</v>
      </c>
      <c r="E78" s="69">
        <f>E63</f>
        <v>9.9420660421184543E-5</v>
      </c>
      <c r="F78" s="65" t="s">
        <v>93</v>
      </c>
      <c r="G78" s="70">
        <f>(SQRT((8*G75/E80)*980.665*(G76-1)*(G77/10)))/100</f>
        <v>1.6529455302195972E-2</v>
      </c>
      <c r="H78" s="61"/>
      <c r="I78" s="61"/>
      <c r="J78" s="61"/>
      <c r="K78" s="61"/>
      <c r="L78" s="61"/>
      <c r="M78" s="61"/>
    </row>
    <row r="79" spans="2:13" ht="48.75" customHeight="1" x14ac:dyDescent="0.25">
      <c r="B79" s="61"/>
      <c r="C79" s="61"/>
      <c r="D79" s="68" t="s">
        <v>94</v>
      </c>
      <c r="E79" s="38">
        <f>M13</f>
        <v>1.0104999999999999E-2</v>
      </c>
      <c r="F79" s="71"/>
      <c r="G79" s="38"/>
      <c r="H79" s="72" t="s">
        <v>95</v>
      </c>
      <c r="I79" s="61"/>
      <c r="J79" s="61"/>
      <c r="K79" s="61"/>
      <c r="L79" s="61"/>
      <c r="M79" s="61"/>
    </row>
    <row r="80" spans="2:13" ht="66.75" customHeight="1" x14ac:dyDescent="0.25">
      <c r="B80" s="61"/>
      <c r="C80" s="61"/>
      <c r="D80" s="73" t="s">
        <v>86</v>
      </c>
      <c r="E80" s="74">
        <f>(0.25)/((LOG10(((E75/4*E76)/3.7)+(5.74/(E77^0.9))))^2)</f>
        <v>0.18951234836025535</v>
      </c>
      <c r="F80" s="71"/>
      <c r="G80" s="38"/>
      <c r="H80" s="72"/>
      <c r="I80" s="61"/>
      <c r="J80" s="61"/>
      <c r="K80" s="61"/>
      <c r="L80" s="61"/>
      <c r="M80" s="61"/>
    </row>
    <row r="81" spans="2:13" ht="22.5" customHeight="1" x14ac:dyDescent="0.25"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</row>
    <row r="83" spans="2:13" x14ac:dyDescent="0.25">
      <c r="D83" s="23" t="s">
        <v>96</v>
      </c>
    </row>
    <row r="85" spans="2:13" ht="41.4" x14ac:dyDescent="0.25">
      <c r="D85" s="75" t="s">
        <v>97</v>
      </c>
      <c r="E85" s="76">
        <f>E64</f>
        <v>1.0058271548022428</v>
      </c>
    </row>
    <row r="86" spans="2:13" ht="41.4" x14ac:dyDescent="0.25">
      <c r="D86" s="75" t="s">
        <v>98</v>
      </c>
      <c r="E86" s="25">
        <v>0.8</v>
      </c>
    </row>
    <row r="87" spans="2:13" ht="27.6" x14ac:dyDescent="0.25">
      <c r="D87" s="75" t="s">
        <v>99</v>
      </c>
      <c r="E87" s="25">
        <v>14</v>
      </c>
    </row>
    <row r="88" spans="2:13" ht="49.5" customHeight="1" x14ac:dyDescent="0.25">
      <c r="D88" s="30" t="s">
        <v>100</v>
      </c>
      <c r="E88" s="77">
        <f>(E85-E86)/(2*(TAN(RADIANS(E87))))</f>
        <v>0.4127638140423831</v>
      </c>
    </row>
  </sheetData>
  <mergeCells count="8">
    <mergeCell ref="T22:Y22"/>
    <mergeCell ref="D73:E73"/>
    <mergeCell ref="B12:C12"/>
    <mergeCell ref="D12:E12"/>
    <mergeCell ref="F12:G12"/>
    <mergeCell ref="H12:I12"/>
    <mergeCell ref="C18:I18"/>
    <mergeCell ref="K19:P19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zoomScale="115" zoomScaleNormal="115" workbookViewId="0">
      <selection activeCell="B29" sqref="B29"/>
    </sheetView>
  </sheetViews>
  <sheetFormatPr baseColWidth="10" defaultRowHeight="14.4" x14ac:dyDescent="0.3"/>
  <cols>
    <col min="1" max="1" width="37" bestFit="1" customWidth="1"/>
    <col min="2" max="2" width="24.33203125" bestFit="1" customWidth="1"/>
    <col min="3" max="3" width="29.109375" customWidth="1"/>
    <col min="4" max="4" width="14.88671875" customWidth="1"/>
  </cols>
  <sheetData>
    <row r="1" spans="1:7" x14ac:dyDescent="0.3">
      <c r="A1" t="s">
        <v>12</v>
      </c>
      <c r="B1" s="10">
        <v>50</v>
      </c>
    </row>
    <row r="2" spans="1:7" x14ac:dyDescent="0.3">
      <c r="A2" t="s">
        <v>0</v>
      </c>
      <c r="B2" s="11">
        <f>+C19</f>
        <v>6.7499999999999999E-3</v>
      </c>
    </row>
    <row r="3" spans="1:7" x14ac:dyDescent="0.3">
      <c r="A3" t="s">
        <v>1</v>
      </c>
      <c r="B3" s="1">
        <f>B2*1000</f>
        <v>6.75</v>
      </c>
    </row>
    <row r="4" spans="1:7" x14ac:dyDescent="0.3">
      <c r="A4" t="s">
        <v>2</v>
      </c>
      <c r="B4" s="13">
        <f>(B3*B1*86400)/(1000*1000)</f>
        <v>29.16</v>
      </c>
      <c r="C4" t="s">
        <v>4</v>
      </c>
      <c r="D4" s="3">
        <v>14</v>
      </c>
      <c r="E4">
        <v>15</v>
      </c>
      <c r="G4" s="8">
        <v>1</v>
      </c>
    </row>
    <row r="5" spans="1:7" x14ac:dyDescent="0.3">
      <c r="A5" t="s">
        <v>3</v>
      </c>
      <c r="B5" s="2">
        <f>+B4*D4</f>
        <v>408.24</v>
      </c>
      <c r="C5" t="s">
        <v>5</v>
      </c>
      <c r="D5" s="4">
        <v>1600</v>
      </c>
      <c r="G5" s="8">
        <v>2</v>
      </c>
    </row>
    <row r="6" spans="1:7" x14ac:dyDescent="0.3">
      <c r="A6" t="s">
        <v>16</v>
      </c>
      <c r="B6" s="17">
        <f>+B5/D5</f>
        <v>0.25514999999999999</v>
      </c>
      <c r="C6" t="s">
        <v>26</v>
      </c>
      <c r="D6" s="5">
        <v>0.3</v>
      </c>
      <c r="G6" s="8">
        <v>3</v>
      </c>
    </row>
    <row r="7" spans="1:7" x14ac:dyDescent="0.3">
      <c r="A7" t="s">
        <v>6</v>
      </c>
      <c r="B7" s="15">
        <f>B6/D6</f>
        <v>0.85050000000000003</v>
      </c>
    </row>
    <row r="8" spans="1:7" x14ac:dyDescent="0.3">
      <c r="A8" t="s">
        <v>7</v>
      </c>
      <c r="B8" s="7">
        <v>1</v>
      </c>
      <c r="D8" s="14"/>
    </row>
    <row r="9" spans="1:7" x14ac:dyDescent="0.3">
      <c r="A9" t="s">
        <v>8</v>
      </c>
      <c r="B9" s="7">
        <v>1</v>
      </c>
    </row>
    <row r="10" spans="1:7" x14ac:dyDescent="0.3">
      <c r="A10" t="s">
        <v>9</v>
      </c>
      <c r="B10">
        <v>1</v>
      </c>
    </row>
    <row r="11" spans="1:7" x14ac:dyDescent="0.3">
      <c r="A11" t="s">
        <v>10</v>
      </c>
      <c r="B11" s="6">
        <f>B8*B9</f>
        <v>1</v>
      </c>
    </row>
    <row r="12" spans="1:7" x14ac:dyDescent="0.3">
      <c r="A12" t="s">
        <v>11</v>
      </c>
      <c r="B12" s="6">
        <f>B11*B10</f>
        <v>1</v>
      </c>
      <c r="C12" s="9" t="str">
        <f>IF(B12&gt;B7,"Cumple","Cambiar dimensiones del lecho")</f>
        <v>Cumple</v>
      </c>
    </row>
    <row r="16" spans="1:7" x14ac:dyDescent="0.3">
      <c r="B16" s="19" t="s">
        <v>15</v>
      </c>
      <c r="C16" s="19">
        <v>4.05</v>
      </c>
    </row>
    <row r="17" spans="1:3" x14ac:dyDescent="0.3">
      <c r="B17" s="19" t="s">
        <v>17</v>
      </c>
      <c r="C17" s="19">
        <v>10</v>
      </c>
    </row>
    <row r="18" spans="1:3" x14ac:dyDescent="0.3">
      <c r="B18" s="19" t="s">
        <v>13</v>
      </c>
      <c r="C18" s="19">
        <f>60*C17</f>
        <v>600</v>
      </c>
    </row>
    <row r="19" spans="1:3" x14ac:dyDescent="0.3">
      <c r="B19" s="19" t="s">
        <v>18</v>
      </c>
      <c r="C19" s="19">
        <f>+C16/C18</f>
        <v>6.7499999999999999E-3</v>
      </c>
    </row>
    <row r="20" spans="1:3" x14ac:dyDescent="0.3">
      <c r="B20" s="19" t="s">
        <v>14</v>
      </c>
      <c r="C20" s="20">
        <f>+C19*1000</f>
        <v>6.75</v>
      </c>
    </row>
    <row r="26" spans="1:3" x14ac:dyDescent="0.3">
      <c r="A26" s="18"/>
    </row>
    <row r="27" spans="1:3" x14ac:dyDescent="0.3">
      <c r="A27" s="18"/>
    </row>
  </sheetData>
  <conditionalFormatting sqref="C12">
    <cfRule type="containsText" dxfId="1" priority="1" operator="containsText" text="Cambiar dimensiones del lecho">
      <formula>NOT(ISERROR(SEARCH("Cambiar dimensiones del lecho",C12)))</formula>
    </cfRule>
    <cfRule type="containsText" dxfId="0" priority="2" operator="containsText" text="Cumple">
      <formula>NOT(ISERROR(SEARCH("Cumple",C12)))</formula>
    </cfRule>
  </conditionalFormatting>
  <dataValidations disablePrompts="1" count="1">
    <dataValidation type="list" allowBlank="1" showInputMessage="1" showErrorMessage="1" sqref="B10">
      <formula1>$G$4:$G$6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6"/>
  <sheetViews>
    <sheetView workbookViewId="0">
      <selection activeCell="C20" sqref="C20"/>
    </sheetView>
  </sheetViews>
  <sheetFormatPr baseColWidth="10" defaultRowHeight="14.4" x14ac:dyDescent="0.3"/>
  <cols>
    <col min="3" max="3" width="29.5546875" customWidth="1"/>
  </cols>
  <sheetData>
    <row r="4" spans="3:5" x14ac:dyDescent="0.3">
      <c r="C4" s="16" t="s">
        <v>20</v>
      </c>
      <c r="D4" s="16">
        <v>0.1</v>
      </c>
    </row>
    <row r="5" spans="3:5" x14ac:dyDescent="0.3">
      <c r="C5" s="16" t="s">
        <v>19</v>
      </c>
      <c r="D5" s="16">
        <f>+D4/1000</f>
        <v>1E-4</v>
      </c>
    </row>
    <row r="6" spans="3:5" x14ac:dyDescent="0.3">
      <c r="C6" s="16"/>
      <c r="D6" s="16"/>
    </row>
    <row r="7" spans="3:5" x14ac:dyDescent="0.3">
      <c r="C7" s="16" t="s">
        <v>21</v>
      </c>
      <c r="D7" s="16">
        <v>11</v>
      </c>
    </row>
    <row r="8" spans="3:5" x14ac:dyDescent="0.3">
      <c r="C8" s="16" t="s">
        <v>22</v>
      </c>
      <c r="D8" s="16">
        <f>+D7*60*60</f>
        <v>39600</v>
      </c>
    </row>
    <row r="9" spans="3:5" x14ac:dyDescent="0.3">
      <c r="C9" s="16"/>
      <c r="D9" s="16"/>
    </row>
    <row r="10" spans="3:5" x14ac:dyDescent="0.3">
      <c r="C10" s="16" t="s">
        <v>23</v>
      </c>
      <c r="D10" s="16">
        <f>+D5*D8</f>
        <v>3.9600000000000004</v>
      </c>
      <c r="E10" s="12"/>
    </row>
    <row r="11" spans="3:5" x14ac:dyDescent="0.3">
      <c r="C11" s="16"/>
      <c r="D11" s="16"/>
    </row>
    <row r="12" spans="3:5" x14ac:dyDescent="0.3">
      <c r="C12" s="16" t="s">
        <v>24</v>
      </c>
      <c r="D12" s="16"/>
    </row>
    <row r="13" spans="3:5" x14ac:dyDescent="0.3">
      <c r="C13" s="16" t="s">
        <v>7</v>
      </c>
      <c r="D13" s="16">
        <v>2</v>
      </c>
    </row>
    <row r="14" spans="3:5" x14ac:dyDescent="0.3">
      <c r="C14" s="16" t="s">
        <v>8</v>
      </c>
      <c r="D14" s="16">
        <v>1.5</v>
      </c>
    </row>
    <row r="15" spans="3:5" x14ac:dyDescent="0.3">
      <c r="C15" s="16" t="s">
        <v>25</v>
      </c>
      <c r="D15" s="16">
        <v>1.4</v>
      </c>
    </row>
    <row r="16" spans="3:5" x14ac:dyDescent="0.3">
      <c r="C16" s="16" t="s">
        <v>35</v>
      </c>
      <c r="D16" s="16">
        <f>+D13*D14*D15</f>
        <v>4.1999999999999993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F12"/>
  <sheetViews>
    <sheetView workbookViewId="0">
      <selection activeCell="D25" sqref="D25"/>
    </sheetView>
  </sheetViews>
  <sheetFormatPr baseColWidth="10" defaultRowHeight="14.4" x14ac:dyDescent="0.3"/>
  <cols>
    <col min="4" max="4" width="24.33203125" bestFit="1" customWidth="1"/>
  </cols>
  <sheetData>
    <row r="6" spans="4:6" x14ac:dyDescent="0.3">
      <c r="D6" s="21" t="s">
        <v>27</v>
      </c>
      <c r="E6" s="21" t="s">
        <v>28</v>
      </c>
      <c r="F6" s="21">
        <v>4.05</v>
      </c>
    </row>
    <row r="7" spans="4:6" x14ac:dyDescent="0.3">
      <c r="D7" s="21"/>
      <c r="E7" s="21"/>
      <c r="F7" s="21"/>
    </row>
    <row r="8" spans="4:6" x14ac:dyDescent="0.3">
      <c r="D8" s="21" t="s">
        <v>29</v>
      </c>
      <c r="E8" s="21"/>
      <c r="F8" s="21"/>
    </row>
    <row r="9" spans="4:6" x14ac:dyDescent="0.3">
      <c r="D9" s="21" t="s">
        <v>30</v>
      </c>
      <c r="E9" s="21" t="s">
        <v>32</v>
      </c>
      <c r="F9" s="21">
        <v>1.5</v>
      </c>
    </row>
    <row r="10" spans="4:6" x14ac:dyDescent="0.3">
      <c r="D10" s="21" t="s">
        <v>31</v>
      </c>
      <c r="E10" s="21" t="s">
        <v>32</v>
      </c>
      <c r="F10" s="21">
        <v>2</v>
      </c>
    </row>
    <row r="11" spans="4:6" x14ac:dyDescent="0.3">
      <c r="D11" s="21" t="s">
        <v>33</v>
      </c>
      <c r="E11" s="21" t="s">
        <v>32</v>
      </c>
      <c r="F11" s="21">
        <v>1.4</v>
      </c>
    </row>
    <row r="12" spans="4:6" x14ac:dyDescent="0.3">
      <c r="D12" s="21" t="s">
        <v>34</v>
      </c>
      <c r="E12" s="21" t="s">
        <v>28</v>
      </c>
      <c r="F12" s="21">
        <f>+F9*F10*F11</f>
        <v>4.1999999999999993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Desareandor</vt:lpstr>
      <vt:lpstr>Lecho secado</vt:lpstr>
      <vt:lpstr>tanque de almacenamiento</vt:lpstr>
      <vt:lpstr>Tanque Bombeo lodos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Usuario</cp:lastModifiedBy>
  <dcterms:created xsi:type="dcterms:W3CDTF">2018-09-11T13:49:19Z</dcterms:created>
  <dcterms:modified xsi:type="dcterms:W3CDTF">2021-05-12T01:15:34Z</dcterms:modified>
</cp:coreProperties>
</file>